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\Documents\Publikacje\CIRE\Morskie wiatraki\"/>
    </mc:Choice>
  </mc:AlternateContent>
  <xr:revisionPtr revIDLastSave="0" documentId="13_ncr:1_{4FC50D7B-DAEF-4B16-BC07-636CE6DF162A}" xr6:coauthVersionLast="46" xr6:coauthVersionMax="46" xr10:uidLastSave="{00000000-0000-0000-0000-000000000000}"/>
  <bookViews>
    <workbookView xWindow="-120" yWindow="-120" windowWidth="38640" windowHeight="15840" xr2:uid="{4CEAF413-BB00-473E-BB4C-BA1C37073DA9}"/>
  </bookViews>
  <sheets>
    <sheet name="LCOE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1" l="1"/>
  <c r="S6" i="1"/>
  <c r="A24" i="1"/>
  <c r="A25" i="1" s="1"/>
  <c r="A26" i="1" s="1"/>
  <c r="A17" i="1"/>
  <c r="A18" i="1" s="1"/>
  <c r="A19" i="1" s="1"/>
  <c r="D7" i="1"/>
  <c r="D8" i="1" s="1"/>
  <c r="O6" i="1"/>
  <c r="P6" i="1" s="1"/>
  <c r="J6" i="1"/>
  <c r="D6" i="1"/>
  <c r="P3" i="1"/>
  <c r="J3" i="1"/>
  <c r="D3" i="1"/>
  <c r="E6" i="1" l="1"/>
  <c r="A20" i="1"/>
  <c r="A21" i="1" s="1"/>
  <c r="B19" i="1"/>
  <c r="E19" i="1" s="1"/>
  <c r="A27" i="1"/>
  <c r="A28" i="1" s="1"/>
  <c r="A29" i="1" s="1"/>
  <c r="A30" i="1" s="1"/>
  <c r="B26" i="1"/>
  <c r="E26" i="1"/>
  <c r="E8" i="1"/>
  <c r="D9" i="1"/>
  <c r="E9" i="1" s="1"/>
  <c r="E7" i="1"/>
  <c r="B24" i="1"/>
  <c r="E24" i="1" s="1"/>
  <c r="B25" i="1"/>
  <c r="D25" i="1" s="1"/>
  <c r="B23" i="1"/>
  <c r="B18" i="1"/>
  <c r="E18" i="1" s="1"/>
  <c r="B22" i="1"/>
  <c r="B17" i="1"/>
  <c r="E17" i="1" s="1"/>
  <c r="B16" i="1"/>
  <c r="C16" i="1" s="1"/>
  <c r="B21" i="1"/>
  <c r="E21" i="1" s="1"/>
  <c r="B28" i="1" l="1"/>
  <c r="D28" i="1" s="1"/>
  <c r="B27" i="1"/>
  <c r="D27" i="1" s="1"/>
  <c r="E10" i="1"/>
  <c r="B20" i="1"/>
  <c r="C20" i="1" s="1"/>
  <c r="B29" i="1"/>
  <c r="D29" i="1" s="1"/>
  <c r="K6" i="1"/>
  <c r="L6" i="1" s="1"/>
  <c r="J10" i="1" s="1"/>
  <c r="K3" i="1"/>
  <c r="L3" i="1" s="1"/>
  <c r="I10" i="1" s="1"/>
  <c r="D18" i="1"/>
  <c r="C27" i="1"/>
  <c r="C17" i="1"/>
  <c r="F17" i="1"/>
  <c r="F23" i="1"/>
  <c r="C23" i="1"/>
  <c r="D23" i="1"/>
  <c r="D17" i="1"/>
  <c r="D21" i="1"/>
  <c r="E23" i="1"/>
  <c r="C21" i="1"/>
  <c r="F21" i="1"/>
  <c r="C22" i="1"/>
  <c r="F22" i="1"/>
  <c r="F25" i="1"/>
  <c r="C25" i="1"/>
  <c r="C28" i="1"/>
  <c r="F28" i="1"/>
  <c r="D24" i="1"/>
  <c r="E25" i="1"/>
  <c r="C26" i="1"/>
  <c r="F26" i="1"/>
  <c r="C19" i="1"/>
  <c r="F19" i="1"/>
  <c r="C24" i="1"/>
  <c r="F24" i="1"/>
  <c r="D16" i="1"/>
  <c r="D26" i="1"/>
  <c r="E22" i="1"/>
  <c r="E28" i="1"/>
  <c r="A31" i="1"/>
  <c r="B30" i="1"/>
  <c r="F18" i="1"/>
  <c r="C18" i="1"/>
  <c r="F20" i="1"/>
  <c r="C29" i="1"/>
  <c r="D22" i="1"/>
  <c r="D19" i="1"/>
  <c r="E16" i="1"/>
  <c r="F27" i="1" l="1"/>
  <c r="E27" i="1"/>
  <c r="F29" i="1"/>
  <c r="E29" i="1"/>
  <c r="D20" i="1"/>
  <c r="E20" i="1"/>
  <c r="A32" i="1"/>
  <c r="B31" i="1"/>
  <c r="C30" i="1"/>
  <c r="F30" i="1"/>
  <c r="E30" i="1"/>
  <c r="D30" i="1"/>
  <c r="F31" i="1" l="1"/>
  <c r="C31" i="1"/>
  <c r="D31" i="1"/>
  <c r="E31" i="1"/>
  <c r="A33" i="1"/>
  <c r="B32" i="1"/>
  <c r="A34" i="1" l="1"/>
  <c r="B33" i="1"/>
  <c r="C32" i="1"/>
  <c r="F32" i="1"/>
  <c r="E32" i="1"/>
  <c r="D32" i="1"/>
  <c r="A35" i="1" l="1"/>
  <c r="B34" i="1"/>
  <c r="F33" i="1"/>
  <c r="C33" i="1"/>
  <c r="D33" i="1"/>
  <c r="E33" i="1"/>
  <c r="C34" i="1" l="1"/>
  <c r="F34" i="1"/>
  <c r="D34" i="1"/>
  <c r="E34" i="1"/>
  <c r="A36" i="1"/>
  <c r="B35" i="1"/>
  <c r="F35" i="1" l="1"/>
  <c r="C35" i="1"/>
  <c r="D35" i="1"/>
  <c r="E35" i="1"/>
  <c r="A37" i="1"/>
  <c r="B36" i="1"/>
  <c r="C36" i="1" l="1"/>
  <c r="F36" i="1"/>
  <c r="D36" i="1"/>
  <c r="E36" i="1"/>
  <c r="A38" i="1"/>
  <c r="B37" i="1"/>
  <c r="F37" i="1" l="1"/>
  <c r="C37" i="1"/>
  <c r="E37" i="1"/>
  <c r="D37" i="1"/>
  <c r="A39" i="1"/>
  <c r="B38" i="1"/>
  <c r="C38" i="1" l="1"/>
  <c r="F38" i="1"/>
  <c r="E38" i="1"/>
  <c r="D38" i="1"/>
  <c r="A40" i="1"/>
  <c r="B40" i="1" s="1"/>
  <c r="B39" i="1"/>
  <c r="F39" i="1" l="1"/>
  <c r="D39" i="1"/>
  <c r="C39" i="1"/>
  <c r="E39" i="1"/>
  <c r="C40" i="1"/>
  <c r="F40" i="1"/>
  <c r="F41" i="1" s="1"/>
  <c r="K11" i="1" s="1"/>
  <c r="K12" i="1" s="1"/>
  <c r="E40" i="1"/>
  <c r="D40" i="1"/>
  <c r="D41" i="1" s="1"/>
  <c r="Q3" i="1" s="1"/>
  <c r="I11" i="1" s="1"/>
  <c r="I12" i="1" s="1"/>
  <c r="E41" i="1" l="1"/>
  <c r="Q6" i="1" s="1"/>
  <c r="J11" i="1" s="1"/>
  <c r="J12" i="1" s="1"/>
  <c r="C41" i="1"/>
  <c r="I13" i="1" l="1"/>
  <c r="I14" i="1" s="1"/>
  <c r="I17" i="1" s="1"/>
  <c r="J13" i="1"/>
  <c r="J14" i="1" s="1"/>
  <c r="J17" i="1" s="1"/>
  <c r="K13" i="1"/>
  <c r="K14" i="1" s="1"/>
  <c r="K17" i="1" s="1"/>
  <c r="I23" i="1" l="1"/>
  <c r="I25" i="1" s="1"/>
  <c r="I20" i="1"/>
</calcChain>
</file>

<file path=xl/sharedStrings.xml><?xml version="1.0" encoding="utf-8"?>
<sst xmlns="http://schemas.openxmlformats.org/spreadsheetml/2006/main" count="70" uniqueCount="63">
  <si>
    <t>WACC %</t>
  </si>
  <si>
    <t>IRR %</t>
  </si>
  <si>
    <t>(WACC+IRR)</t>
  </si>
  <si>
    <t>Exchange Rate</t>
  </si>
  <si>
    <t>After construction zł/MW</t>
  </si>
  <si>
    <t>Exchange</t>
  </si>
  <si>
    <t xml:space="preserve">Year </t>
  </si>
  <si>
    <t>Year</t>
  </si>
  <si>
    <t>Discount</t>
  </si>
  <si>
    <t xml:space="preserve">Production </t>
  </si>
  <si>
    <t>Table 1</t>
  </si>
  <si>
    <t>Table 4a</t>
  </si>
  <si>
    <t>Table 6</t>
  </si>
  <si>
    <t>Total interest rate %</t>
  </si>
  <si>
    <t>Operating time in rated power per year (h)</t>
  </si>
  <si>
    <t>Table 2</t>
  </si>
  <si>
    <t>Table 4b</t>
  </si>
  <si>
    <t>the UK</t>
  </si>
  <si>
    <t>the US</t>
  </si>
  <si>
    <t>WM_Data</t>
  </si>
  <si>
    <t>Cost after construction (zł)</t>
  </si>
  <si>
    <t>Numerator (zł)</t>
  </si>
  <si>
    <t>Denominator (MWh)</t>
  </si>
  <si>
    <t>LCOE (zł/MWh)= Numerator/ Denominator</t>
  </si>
  <si>
    <t>Balancing reserve (zł/MWh)</t>
  </si>
  <si>
    <t>Liquidation in (zł/MWh)</t>
  </si>
  <si>
    <t>Total cost off-shore electric energy (zł/MWh)</t>
  </si>
  <si>
    <t>Sum interest</t>
  </si>
  <si>
    <t>Interest in  %</t>
  </si>
  <si>
    <t>Annual spending %</t>
  </si>
  <si>
    <t xml:space="preserve">Sum of spendings  in  % </t>
  </si>
  <si>
    <t>Financial cost during construction</t>
  </si>
  <si>
    <t>Discount calculation</t>
  </si>
  <si>
    <t>Table 3a</t>
  </si>
  <si>
    <t>Table 3b</t>
  </si>
  <si>
    <t>Overnight costs -  the UK (£/MW)</t>
  </si>
  <si>
    <t>Overnight costs -  the US (US$/MW)</t>
  </si>
  <si>
    <t>Overnight cost zł/MW</t>
  </si>
  <si>
    <t>Financial construction rate</t>
  </si>
  <si>
    <t>W1</t>
  </si>
  <si>
    <t>W2</t>
  </si>
  <si>
    <t>W3</t>
  </si>
  <si>
    <t>W4</t>
  </si>
  <si>
    <t>W5</t>
  </si>
  <si>
    <t>W6</t>
  </si>
  <si>
    <t>W7</t>
  </si>
  <si>
    <t>W8</t>
  </si>
  <si>
    <r>
      <t>O&amp;M the UK (</t>
    </r>
    <r>
      <rPr>
        <sz val="11"/>
        <color theme="1"/>
        <rFont val="Calibri"/>
        <family val="2"/>
        <charset val="238"/>
      </rPr>
      <t>£/MW-y)</t>
    </r>
  </si>
  <si>
    <t>O&amp;M the US (US$/MW_y)</t>
  </si>
  <si>
    <t>O&amp;M in zł/MW-y</t>
  </si>
  <si>
    <t>O&amp;M discounted 25 years (zł)</t>
  </si>
  <si>
    <t>O&amp;M distcounted (zł)</t>
  </si>
  <si>
    <t>Table 5</t>
  </si>
  <si>
    <t>O&amp;M the UK</t>
  </si>
  <si>
    <t>O&amp;M the US</t>
  </si>
  <si>
    <t>O&amp;M WM_Data</t>
  </si>
  <si>
    <t>Sum</t>
  </si>
  <si>
    <t>Cena energii TGE base I-2021 (zł/MWh)</t>
  </si>
  <si>
    <t>Cena energii Offshore (zł/MWh)</t>
  </si>
  <si>
    <t>Dopłata (subsydium) (zł/MWh)</t>
  </si>
  <si>
    <t>Dopłata roczna w I etapie 5900MW (zł)</t>
  </si>
  <si>
    <t>Wzrost opłaty OZE i taryfy  (zł/MWh)</t>
  </si>
  <si>
    <t>Prognozowane zużycie energii w 2030 MWh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</si>
</sst>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_-;\-* #,##0_-;_-* &quot;-&quot;??_-;_-@_-"/>
    <numFmt numFmtId="165" formatCode="_-* #,##0.00\ _z_ł_-;\-* #,##0.00\ _z_ł_-;_-* &quot;-&quot;??\ _z_ł_-;_-@_-"/>
    <numFmt numFmtId="166" formatCode="0.0"/>
    <numFmt numFmtId="167" formatCode="0.0000"/>
    <numFmt numFmtId="168" formatCode="_-* #,##0.0_-;\-* #,##0.0_-;_-* &quot;-&quot;??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0" xfId="0" applyAlignment="1">
      <alignment wrapText="1"/>
    </xf>
    <xf numFmtId="0" fontId="0" fillId="3" borderId="1" xfId="0" applyFill="1" applyBorder="1"/>
    <xf numFmtId="0" fontId="0" fillId="4" borderId="1" xfId="0" applyFill="1" applyBorder="1"/>
    <xf numFmtId="164" fontId="0" fillId="0" borderId="1" xfId="1" applyNumberFormat="1" applyFont="1" applyBorder="1" applyAlignment="1">
      <alignment horizontal="right"/>
    </xf>
    <xf numFmtId="164" fontId="0" fillId="0" borderId="1" xfId="1" applyNumberFormat="1" applyFont="1" applyBorder="1"/>
    <xf numFmtId="165" fontId="0" fillId="0" borderId="1" xfId="0" applyNumberFormat="1" applyBorder="1"/>
    <xf numFmtId="164" fontId="0" fillId="0" borderId="1" xfId="0" applyNumberFormat="1" applyBorder="1"/>
    <xf numFmtId="3" fontId="0" fillId="0" borderId="1" xfId="0" applyNumberFormat="1" applyBorder="1"/>
    <xf numFmtId="0" fontId="0" fillId="0" borderId="2" xfId="0" applyBorder="1"/>
    <xf numFmtId="0" fontId="0" fillId="0" borderId="2" xfId="0" applyBorder="1" applyAlignment="1">
      <alignment horizontal="center"/>
    </xf>
    <xf numFmtId="43" fontId="0" fillId="0" borderId="2" xfId="0" applyNumberFormat="1" applyBorder="1"/>
    <xf numFmtId="0" fontId="0" fillId="0" borderId="1" xfId="0" applyBorder="1" applyAlignment="1">
      <alignment horizontal="center"/>
    </xf>
    <xf numFmtId="43" fontId="0" fillId="0" borderId="0" xfId="0" applyNumberFormat="1"/>
    <xf numFmtId="164" fontId="0" fillId="0" borderId="0" xfId="1" applyNumberFormat="1" applyFont="1"/>
    <xf numFmtId="0" fontId="0" fillId="0" borderId="3" xfId="0" applyBorder="1"/>
    <xf numFmtId="0" fontId="0" fillId="5" borderId="1" xfId="0" applyFill="1" applyBorder="1"/>
    <xf numFmtId="0" fontId="2" fillId="0" borderId="4" xfId="0" applyFont="1" applyBorder="1"/>
    <xf numFmtId="43" fontId="2" fillId="0" borderId="1" xfId="0" applyNumberFormat="1" applyFont="1" applyBorder="1"/>
    <xf numFmtId="43" fontId="2" fillId="0" borderId="0" xfId="0" applyNumberFormat="1" applyFont="1"/>
    <xf numFmtId="0" fontId="2" fillId="0" borderId="0" xfId="0" applyFont="1"/>
    <xf numFmtId="0" fontId="0" fillId="4" borderId="1" xfId="0" applyFill="1" applyBorder="1" applyAlignment="1">
      <alignment wrapText="1"/>
    </xf>
    <xf numFmtId="166" fontId="0" fillId="4" borderId="1" xfId="0" applyNumberFormat="1" applyFill="1" applyBorder="1"/>
    <xf numFmtId="1" fontId="0" fillId="0" borderId="1" xfId="0" applyNumberFormat="1" applyBorder="1"/>
    <xf numFmtId="164" fontId="0" fillId="0" borderId="0" xfId="0" applyNumberFormat="1"/>
    <xf numFmtId="167" fontId="0" fillId="0" borderId="1" xfId="0" applyNumberFormat="1" applyBorder="1"/>
    <xf numFmtId="164" fontId="0" fillId="0" borderId="0" xfId="1" applyNumberFormat="1" applyFont="1" applyBorder="1" applyAlignment="1">
      <alignment horizontal="right"/>
    </xf>
    <xf numFmtId="3" fontId="0" fillId="0" borderId="0" xfId="0" applyNumberFormat="1"/>
    <xf numFmtId="164" fontId="0" fillId="0" borderId="0" xfId="1" applyNumberFormat="1" applyFont="1" applyBorder="1"/>
    <xf numFmtId="168" fontId="0" fillId="0" borderId="0" xfId="1" applyNumberFormat="1" applyFont="1" applyFill="1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right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43" fontId="2" fillId="0" borderId="0" xfId="0" applyNumberFormat="1" applyFont="1" applyAlignment="1">
      <alignment horizontal="center"/>
    </xf>
    <xf numFmtId="166" fontId="0" fillId="0" borderId="1" xfId="0" applyNumberFormat="1" applyBorder="1"/>
    <xf numFmtId="164" fontId="1" fillId="0" borderId="1" xfId="1" applyNumberFormat="1" applyFont="1" applyBorder="1"/>
    <xf numFmtId="0" fontId="2" fillId="2" borderId="1" xfId="0" applyFont="1" applyFill="1" applyBorder="1"/>
    <xf numFmtId="166" fontId="2" fillId="2" borderId="1" xfId="0" applyNumberFormat="1" applyFont="1" applyFill="1" applyBorder="1"/>
    <xf numFmtId="0" fontId="0" fillId="5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6" borderId="1" xfId="0" applyFill="1" applyBorder="1" applyAlignment="1">
      <alignment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costs of off-shore electric energy in zł/MWh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[1]LCOE!$H$14</c:f>
              <c:strCache>
                <c:ptCount val="1"/>
                <c:pt idx="0">
                  <c:v>LCOE (zł/MWh)= Numerator/ Denominator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A48A-489F-AF4A-CA9B57512E4A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[1]LCOE!$I$9:$K$9</c:f>
              <c:strCache>
                <c:ptCount val="3"/>
                <c:pt idx="0">
                  <c:v>the UK</c:v>
                </c:pt>
                <c:pt idx="1">
                  <c:v>the US</c:v>
                </c:pt>
                <c:pt idx="2">
                  <c:v>WM_Data</c:v>
                </c:pt>
              </c:strCache>
            </c:strRef>
          </c:cat>
          <c:val>
            <c:numRef>
              <c:f>[1]LCOE!$I$14:$K$14</c:f>
              <c:numCache>
                <c:formatCode>General</c:formatCode>
                <c:ptCount val="3"/>
                <c:pt idx="0">
                  <c:v>474.81153578374517</c:v>
                </c:pt>
                <c:pt idx="1">
                  <c:v>605.76745041947697</c:v>
                </c:pt>
                <c:pt idx="2">
                  <c:v>539.83390993667854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8A-489F-AF4A-CA9B57512E4A}"/>
            </c:ext>
          </c:extLst>
        </c:ser>
        <c:ser>
          <c:idx val="1"/>
          <c:order val="1"/>
          <c:tx>
            <c:strRef>
              <c:f>[1]LCOE!$H$15</c:f>
              <c:strCache>
                <c:ptCount val="1"/>
                <c:pt idx="0">
                  <c:v>Balancing reserve (zł/MWh)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[1]LCOE!$I$9:$K$9</c:f>
              <c:strCache>
                <c:ptCount val="3"/>
                <c:pt idx="0">
                  <c:v>the UK</c:v>
                </c:pt>
                <c:pt idx="1">
                  <c:v>the US</c:v>
                </c:pt>
                <c:pt idx="2">
                  <c:v>WM_Data</c:v>
                </c:pt>
              </c:strCache>
            </c:strRef>
          </c:cat>
          <c:val>
            <c:numRef>
              <c:f>[1]LCOE!$I$15:$K$15</c:f>
              <c:numCache>
                <c:formatCode>General</c:formatCode>
                <c:ptCount val="3"/>
                <c:pt idx="0">
                  <c:v>54</c:v>
                </c:pt>
                <c:pt idx="1">
                  <c:v>54</c:v>
                </c:pt>
                <c:pt idx="2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8A-489F-AF4A-CA9B57512E4A}"/>
            </c:ext>
          </c:extLst>
        </c:ser>
        <c:ser>
          <c:idx val="2"/>
          <c:order val="2"/>
          <c:tx>
            <c:strRef>
              <c:f>[1]LCOE!$H$16</c:f>
              <c:strCache>
                <c:ptCount val="1"/>
                <c:pt idx="0">
                  <c:v>Liquidation in (zł/MWh)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[1]LCOE!$I$9:$K$9</c:f>
              <c:strCache>
                <c:ptCount val="3"/>
                <c:pt idx="0">
                  <c:v>the UK</c:v>
                </c:pt>
                <c:pt idx="1">
                  <c:v>the US</c:v>
                </c:pt>
                <c:pt idx="2">
                  <c:v>WM_Data</c:v>
                </c:pt>
              </c:strCache>
            </c:strRef>
          </c:cat>
          <c:val>
            <c:numRef>
              <c:f>[1]LCOE!$I$16:$K$16</c:f>
              <c:numCache>
                <c:formatCode>General</c:formatCode>
                <c:ptCount val="3"/>
                <c:pt idx="0">
                  <c:v>15.2</c:v>
                </c:pt>
                <c:pt idx="1">
                  <c:v>15.2</c:v>
                </c:pt>
                <c:pt idx="2">
                  <c:v>15.2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8A-489F-AF4A-CA9B57512E4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83600223"/>
        <c:axId val="1283581919"/>
      </c:barChart>
      <c:catAx>
        <c:axId val="12836002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3581919"/>
        <c:crosses val="autoZero"/>
        <c:auto val="1"/>
        <c:lblAlgn val="ctr"/>
        <c:lblOffset val="100"/>
        <c:noMultiLvlLbl val="0"/>
      </c:catAx>
      <c:valAx>
        <c:axId val="12835819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36002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114299</xdr:colOff>
      <xdr:row>7</xdr:row>
      <xdr:rowOff>52386</xdr:rowOff>
    </xdr:from>
    <xdr:to>
      <xdr:col>19</xdr:col>
      <xdr:colOff>857250</xdr:colOff>
      <xdr:row>28</xdr:row>
      <xdr:rowOff>95250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34BFD8BD-5E2C-442E-811A-F5D012CFA6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oszty%20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ożenia"/>
      <sheetName val="Wiatraki"/>
      <sheetName val="Tablice finansowe"/>
      <sheetName val="LCOE"/>
    </sheetNames>
    <sheetDataSet>
      <sheetData sheetId="0"/>
      <sheetData sheetId="1"/>
      <sheetData sheetId="2"/>
      <sheetData sheetId="3">
        <row r="9">
          <cell r="I9" t="str">
            <v>the UK</v>
          </cell>
          <cell r="J9" t="str">
            <v>the US</v>
          </cell>
          <cell r="K9" t="str">
            <v>WM_Data</v>
          </cell>
        </row>
        <row r="14">
          <cell r="H14" t="str">
            <v>LCOE (zł/MWh)= Numerator/ Denominator</v>
          </cell>
          <cell r="I14">
            <v>474.81153578374517</v>
          </cell>
          <cell r="J14">
            <v>605.76745041947697</v>
          </cell>
          <cell r="K14">
            <v>539.83390993667854</v>
          </cell>
        </row>
        <row r="15">
          <cell r="H15" t="str">
            <v>Balancing reserve (zł/MWh)</v>
          </cell>
          <cell r="I15">
            <v>54</v>
          </cell>
          <cell r="J15">
            <v>54</v>
          </cell>
          <cell r="K15">
            <v>54</v>
          </cell>
        </row>
        <row r="16">
          <cell r="H16" t="str">
            <v>Liquidation in (zł/MWh)</v>
          </cell>
          <cell r="I16">
            <v>15.2</v>
          </cell>
          <cell r="J16">
            <v>15.2</v>
          </cell>
          <cell r="K16">
            <v>15.2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374D8-B9B8-43C6-ABA9-8A910E15F7E0}">
  <dimension ref="A1:U41"/>
  <sheetViews>
    <sheetView tabSelected="1" zoomScale="110" zoomScaleNormal="110" workbookViewId="0">
      <selection activeCell="S2" sqref="S2"/>
    </sheetView>
  </sheetViews>
  <sheetFormatPr defaultRowHeight="15" x14ac:dyDescent="0.25"/>
  <cols>
    <col min="1" max="1" width="14" customWidth="1"/>
    <col min="2" max="2" width="8.7109375" customWidth="1"/>
    <col min="3" max="3" width="11.5703125" customWidth="1"/>
    <col min="4" max="4" width="11.85546875" customWidth="1"/>
    <col min="5" max="5" width="12.42578125" customWidth="1"/>
    <col min="6" max="6" width="15" customWidth="1"/>
    <col min="7" max="7" width="12.42578125" customWidth="1"/>
    <col min="8" max="8" width="38.5703125" customWidth="1"/>
    <col min="9" max="9" width="16.85546875" customWidth="1"/>
    <col min="10" max="10" width="13.28515625" customWidth="1"/>
    <col min="11" max="11" width="14.7109375" customWidth="1"/>
    <col min="12" max="12" width="15.28515625" customWidth="1"/>
    <col min="14" max="14" width="14" customWidth="1"/>
    <col min="16" max="16" width="11.5703125" customWidth="1"/>
    <col min="17" max="17" width="12.85546875" bestFit="1" customWidth="1"/>
    <col min="18" max="18" width="10.42578125" customWidth="1"/>
    <col min="19" max="19" width="21.5703125" customWidth="1"/>
    <col min="20" max="20" width="13.85546875" customWidth="1"/>
    <col min="21" max="21" width="12" bestFit="1" customWidth="1"/>
  </cols>
  <sheetData>
    <row r="1" spans="1:20" x14ac:dyDescent="0.25">
      <c r="A1" t="s">
        <v>10</v>
      </c>
      <c r="H1" t="s">
        <v>33</v>
      </c>
      <c r="N1" t="s">
        <v>11</v>
      </c>
    </row>
    <row r="2" spans="1:20" ht="45" x14ac:dyDescent="0.25">
      <c r="A2" s="37" t="s">
        <v>13</v>
      </c>
      <c r="B2" s="38" t="s">
        <v>0</v>
      </c>
      <c r="C2" s="38" t="s">
        <v>1</v>
      </c>
      <c r="D2" s="37" t="s">
        <v>2</v>
      </c>
      <c r="H2" s="44" t="s">
        <v>35</v>
      </c>
      <c r="I2" s="32" t="s">
        <v>3</v>
      </c>
      <c r="J2" s="32" t="s">
        <v>37</v>
      </c>
      <c r="K2" s="32" t="s">
        <v>38</v>
      </c>
      <c r="L2" s="32" t="s">
        <v>4</v>
      </c>
      <c r="N2" s="45" t="s">
        <v>47</v>
      </c>
      <c r="O2" s="33" t="s">
        <v>5</v>
      </c>
      <c r="P2" s="32" t="s">
        <v>49</v>
      </c>
      <c r="Q2" s="32" t="s">
        <v>50</v>
      </c>
      <c r="R2" s="3"/>
      <c r="S2" s="46" t="s">
        <v>14</v>
      </c>
      <c r="T2" s="34">
        <v>3500</v>
      </c>
    </row>
    <row r="3" spans="1:20" x14ac:dyDescent="0.25">
      <c r="A3" s="2"/>
      <c r="B3" s="4">
        <v>6</v>
      </c>
      <c r="C3" s="4">
        <v>2</v>
      </c>
      <c r="D3" s="5">
        <f>(B3+C3)/100</f>
        <v>0.08</v>
      </c>
      <c r="H3" s="6">
        <v>2370000</v>
      </c>
      <c r="I3" s="2">
        <v>5.15</v>
      </c>
      <c r="J3" s="7">
        <f>H3*I3</f>
        <v>12205500</v>
      </c>
      <c r="K3" s="8">
        <f>1+E10/100</f>
        <v>1.2</v>
      </c>
      <c r="L3" s="9">
        <f>J3*K3</f>
        <v>14646600</v>
      </c>
      <c r="N3" s="10">
        <v>76000</v>
      </c>
      <c r="O3" s="2">
        <v>5.15</v>
      </c>
      <c r="P3" s="7">
        <f>N3*O3</f>
        <v>391400</v>
      </c>
      <c r="Q3" s="7">
        <f>D41</f>
        <v>4512355.9922306538</v>
      </c>
    </row>
    <row r="4" spans="1:20" x14ac:dyDescent="0.25">
      <c r="A4" t="s">
        <v>15</v>
      </c>
      <c r="H4" t="s">
        <v>34</v>
      </c>
      <c r="N4" t="s">
        <v>16</v>
      </c>
    </row>
    <row r="5" spans="1:20" ht="45" x14ac:dyDescent="0.25">
      <c r="A5" s="37" t="s">
        <v>31</v>
      </c>
      <c r="B5" s="38" t="s">
        <v>6</v>
      </c>
      <c r="C5" s="37" t="s">
        <v>29</v>
      </c>
      <c r="D5" s="37" t="s">
        <v>30</v>
      </c>
      <c r="E5" s="37" t="s">
        <v>28</v>
      </c>
      <c r="F5" s="1"/>
      <c r="G5" s="1"/>
      <c r="H5" s="44" t="s">
        <v>36</v>
      </c>
      <c r="I5" s="32" t="s">
        <v>3</v>
      </c>
      <c r="J5" s="32" t="s">
        <v>37</v>
      </c>
      <c r="K5" s="32" t="s">
        <v>38</v>
      </c>
      <c r="L5" s="32" t="s">
        <v>4</v>
      </c>
      <c r="N5" s="45" t="s">
        <v>48</v>
      </c>
      <c r="O5" s="33" t="s">
        <v>5</v>
      </c>
      <c r="P5" s="32" t="s">
        <v>49</v>
      </c>
      <c r="Q5" s="32" t="s">
        <v>50</v>
      </c>
    </row>
    <row r="6" spans="1:20" x14ac:dyDescent="0.25">
      <c r="B6" s="11">
        <v>1</v>
      </c>
      <c r="C6" s="11">
        <v>25</v>
      </c>
      <c r="D6" s="12">
        <f>C6</f>
        <v>25</v>
      </c>
      <c r="E6" s="13">
        <f>D6*$D$3</f>
        <v>2</v>
      </c>
      <c r="F6" s="13"/>
      <c r="G6" s="13"/>
      <c r="H6" s="7">
        <v>4375000</v>
      </c>
      <c r="I6" s="2">
        <v>3.75</v>
      </c>
      <c r="J6" s="7">
        <f>H6*I6</f>
        <v>16406250</v>
      </c>
      <c r="K6" s="8">
        <f>1+E10/100</f>
        <v>1.2</v>
      </c>
      <c r="L6" s="9">
        <f>J6*K6</f>
        <v>19687500</v>
      </c>
      <c r="N6" s="7">
        <v>110000</v>
      </c>
      <c r="O6" s="2">
        <f>I6</f>
        <v>3.75</v>
      </c>
      <c r="P6" s="9">
        <f>N6*O6</f>
        <v>412500</v>
      </c>
      <c r="Q6" s="9">
        <f>E41</f>
        <v>4755612.7920162091</v>
      </c>
      <c r="S6" s="16">
        <f>159088000/400</f>
        <v>397720</v>
      </c>
    </row>
    <row r="7" spans="1:20" x14ac:dyDescent="0.25">
      <c r="B7" s="2">
        <v>2</v>
      </c>
      <c r="C7" s="2">
        <v>25</v>
      </c>
      <c r="D7" s="14">
        <f>D6+C7</f>
        <v>50</v>
      </c>
      <c r="E7" s="13">
        <f t="shared" ref="E7:E9" si="0">D7*$D$3</f>
        <v>4</v>
      </c>
      <c r="F7" s="15"/>
      <c r="G7" s="15"/>
      <c r="Q7" s="3"/>
    </row>
    <row r="8" spans="1:20" x14ac:dyDescent="0.25">
      <c r="B8" s="2">
        <v>3</v>
      </c>
      <c r="C8" s="2">
        <v>25</v>
      </c>
      <c r="D8" s="14">
        <f t="shared" ref="D8:D9" si="1">D7+C8</f>
        <v>75</v>
      </c>
      <c r="E8" s="13">
        <f t="shared" si="0"/>
        <v>6</v>
      </c>
      <c r="F8" s="15"/>
      <c r="G8" s="15"/>
      <c r="H8" t="s">
        <v>52</v>
      </c>
      <c r="Q8" s="16"/>
    </row>
    <row r="9" spans="1:20" x14ac:dyDescent="0.25">
      <c r="B9" s="2">
        <v>4</v>
      </c>
      <c r="C9" s="17">
        <v>25</v>
      </c>
      <c r="D9" s="14">
        <f t="shared" si="1"/>
        <v>100</v>
      </c>
      <c r="E9" s="13">
        <f t="shared" si="0"/>
        <v>8</v>
      </c>
      <c r="F9" s="15"/>
      <c r="G9" s="15"/>
      <c r="H9" s="18"/>
      <c r="I9" s="18" t="s">
        <v>17</v>
      </c>
      <c r="J9" s="18" t="s">
        <v>18</v>
      </c>
      <c r="K9" s="18" t="s">
        <v>19</v>
      </c>
    </row>
    <row r="10" spans="1:20" x14ac:dyDescent="0.25">
      <c r="D10" s="19" t="s">
        <v>27</v>
      </c>
      <c r="E10" s="20">
        <f>SUM(E6:E9)</f>
        <v>20</v>
      </c>
      <c r="F10" s="21"/>
      <c r="G10" s="39" t="s">
        <v>39</v>
      </c>
      <c r="H10" s="1" t="s">
        <v>20</v>
      </c>
      <c r="I10" s="9">
        <f>L3</f>
        <v>14646600</v>
      </c>
      <c r="J10" s="9">
        <f>L6</f>
        <v>19687500</v>
      </c>
      <c r="K10" s="7">
        <v>17171148</v>
      </c>
    </row>
    <row r="11" spans="1:20" x14ac:dyDescent="0.25">
      <c r="D11" s="22"/>
      <c r="E11" s="21"/>
      <c r="F11" s="21"/>
      <c r="G11" s="39" t="s">
        <v>40</v>
      </c>
      <c r="H11" s="1" t="s">
        <v>51</v>
      </c>
      <c r="I11" s="9">
        <f>Q3</f>
        <v>4512355.9922306538</v>
      </c>
      <c r="J11" s="9">
        <f>Q6</f>
        <v>4755612.7920162091</v>
      </c>
      <c r="K11" s="9">
        <f>F41</f>
        <v>4611503.3134702649</v>
      </c>
    </row>
    <row r="12" spans="1:20" x14ac:dyDescent="0.25">
      <c r="D12" s="22"/>
      <c r="E12" s="21"/>
      <c r="F12" s="21"/>
      <c r="G12" s="39" t="s">
        <v>41</v>
      </c>
      <c r="H12" s="1" t="s">
        <v>21</v>
      </c>
      <c r="I12" s="9">
        <f>SUM(I10:I11)</f>
        <v>19158955.992230654</v>
      </c>
      <c r="J12" s="9">
        <f>SUM(J10:J11)</f>
        <v>24443112.792016208</v>
      </c>
      <c r="K12" s="9">
        <f>SUM(K10:K11)</f>
        <v>21782651.313470267</v>
      </c>
    </row>
    <row r="13" spans="1:20" x14ac:dyDescent="0.25">
      <c r="D13" s="22"/>
      <c r="E13" s="21"/>
      <c r="F13" s="21"/>
      <c r="G13" s="39" t="s">
        <v>42</v>
      </c>
      <c r="H13" s="1" t="s">
        <v>22</v>
      </c>
      <c r="I13" s="9">
        <f>C41</f>
        <v>40350.65399286482</v>
      </c>
      <c r="J13" s="9">
        <f>C41</f>
        <v>40350.65399286482</v>
      </c>
      <c r="K13" s="9">
        <f>C41</f>
        <v>40350.65399286482</v>
      </c>
    </row>
    <row r="14" spans="1:20" ht="30" x14ac:dyDescent="0.25">
      <c r="A14" t="s">
        <v>32</v>
      </c>
      <c r="G14" s="39" t="s">
        <v>43</v>
      </c>
      <c r="H14" s="23" t="s">
        <v>23</v>
      </c>
      <c r="I14" s="24">
        <f>I12/I13</f>
        <v>474.81153578374517</v>
      </c>
      <c r="J14" s="24">
        <f>J12/J13</f>
        <v>605.76745041947697</v>
      </c>
      <c r="K14" s="24">
        <f>K12/K13</f>
        <v>539.83390993667854</v>
      </c>
    </row>
    <row r="15" spans="1:20" x14ac:dyDescent="0.25">
      <c r="A15" s="18" t="s">
        <v>7</v>
      </c>
      <c r="B15" s="18" t="s">
        <v>8</v>
      </c>
      <c r="C15" s="18" t="s">
        <v>9</v>
      </c>
      <c r="D15" s="18" t="s">
        <v>53</v>
      </c>
      <c r="E15" s="18" t="s">
        <v>54</v>
      </c>
      <c r="F15" s="18" t="s">
        <v>55</v>
      </c>
      <c r="G15" s="39" t="s">
        <v>44</v>
      </c>
      <c r="H15" s="1" t="s">
        <v>24</v>
      </c>
      <c r="I15" s="25">
        <v>54</v>
      </c>
      <c r="J15" s="25">
        <v>54</v>
      </c>
      <c r="K15" s="25">
        <v>54</v>
      </c>
    </row>
    <row r="16" spans="1:20" x14ac:dyDescent="0.25">
      <c r="A16" s="25">
        <v>1</v>
      </c>
      <c r="B16" s="2">
        <f t="shared" ref="B16:B40" si="2">1/(1+$D$3)^(A16-1)</f>
        <v>1</v>
      </c>
      <c r="C16" s="2">
        <f t="shared" ref="C16:C40" si="3">$T$2*B16</f>
        <v>3500</v>
      </c>
      <c r="D16" s="7">
        <f>$P$3*B16</f>
        <v>391400</v>
      </c>
      <c r="E16" s="9">
        <f>$P$6*B16</f>
        <v>412500</v>
      </c>
      <c r="F16" s="9">
        <v>400000</v>
      </c>
      <c r="G16" s="39" t="s">
        <v>45</v>
      </c>
      <c r="H16" s="1" t="s">
        <v>25</v>
      </c>
      <c r="I16" s="2">
        <v>15.2</v>
      </c>
      <c r="J16" s="2">
        <v>15.2</v>
      </c>
      <c r="K16" s="2">
        <v>15.2</v>
      </c>
    </row>
    <row r="17" spans="1:21" ht="31.5" x14ac:dyDescent="0.25">
      <c r="A17" s="25">
        <f>A16+1</f>
        <v>2</v>
      </c>
      <c r="B17" s="27">
        <f t="shared" si="2"/>
        <v>0.92592592592592582</v>
      </c>
      <c r="C17" s="7">
        <f t="shared" si="3"/>
        <v>3240.7407407407404</v>
      </c>
      <c r="D17" s="7">
        <f t="shared" ref="D17:D40" si="4">$P$3*B17</f>
        <v>362407.40740740736</v>
      </c>
      <c r="E17" s="9">
        <f t="shared" ref="E17:E40" si="5">$P$6*B17</f>
        <v>381944.44444444438</v>
      </c>
      <c r="F17" s="9">
        <f>$F$16*B17</f>
        <v>370370.37037037034</v>
      </c>
      <c r="G17" s="39" t="s">
        <v>46</v>
      </c>
      <c r="H17" s="35" t="s">
        <v>26</v>
      </c>
      <c r="I17" s="36">
        <f>I14+I15+I16</f>
        <v>544.01153578374522</v>
      </c>
      <c r="J17" s="36">
        <f t="shared" ref="J17:K17" si="6">J14+J15+J16</f>
        <v>674.96745041947702</v>
      </c>
      <c r="K17" s="36">
        <f t="shared" si="6"/>
        <v>609.03390993667858</v>
      </c>
      <c r="R17" s="3"/>
      <c r="T17" s="3"/>
      <c r="U17" s="28"/>
    </row>
    <row r="18" spans="1:21" x14ac:dyDescent="0.25">
      <c r="A18" s="25">
        <f t="shared" ref="A18:A38" si="7">A17+1</f>
        <v>3</v>
      </c>
      <c r="B18" s="27">
        <f t="shared" si="2"/>
        <v>0.85733882030178321</v>
      </c>
      <c r="C18" s="7">
        <f t="shared" si="3"/>
        <v>3000.685871056241</v>
      </c>
      <c r="D18" s="7">
        <f t="shared" si="4"/>
        <v>335562.41426611796</v>
      </c>
      <c r="E18" s="9">
        <f t="shared" si="5"/>
        <v>353652.2633744856</v>
      </c>
      <c r="F18" s="9">
        <f t="shared" ref="F18:F40" si="8">$F$16*B18</f>
        <v>342935.52812071331</v>
      </c>
      <c r="G18" s="26"/>
      <c r="S18" s="29"/>
      <c r="U18" s="30"/>
    </row>
    <row r="19" spans="1:21" x14ac:dyDescent="0.25">
      <c r="A19" s="25">
        <f t="shared" si="7"/>
        <v>4</v>
      </c>
      <c r="B19" s="27">
        <f t="shared" si="2"/>
        <v>0.79383224102016958</v>
      </c>
      <c r="C19" s="7">
        <f t="shared" si="3"/>
        <v>2778.4128435705934</v>
      </c>
      <c r="D19" s="7">
        <f t="shared" si="4"/>
        <v>310705.93913529435</v>
      </c>
      <c r="E19" s="9">
        <f t="shared" si="5"/>
        <v>327455.79942081997</v>
      </c>
      <c r="F19" s="9">
        <f t="shared" si="8"/>
        <v>317532.89640806784</v>
      </c>
      <c r="G19" s="26"/>
      <c r="H19" t="s">
        <v>12</v>
      </c>
      <c r="U19" s="26"/>
    </row>
    <row r="20" spans="1:21" x14ac:dyDescent="0.25">
      <c r="A20" s="25">
        <f t="shared" si="7"/>
        <v>5</v>
      </c>
      <c r="B20" s="27">
        <f t="shared" si="2"/>
        <v>0.73502985279645328</v>
      </c>
      <c r="C20" s="7">
        <f t="shared" si="3"/>
        <v>2572.6044847875864</v>
      </c>
      <c r="D20" s="7">
        <f t="shared" si="4"/>
        <v>287690.68438453181</v>
      </c>
      <c r="E20" s="9">
        <f t="shared" si="5"/>
        <v>303199.814278537</v>
      </c>
      <c r="F20" s="9">
        <f t="shared" si="8"/>
        <v>294011.94111858134</v>
      </c>
      <c r="G20" s="26"/>
      <c r="H20" s="2" t="s">
        <v>58</v>
      </c>
      <c r="I20" s="40">
        <f>K17</f>
        <v>609.03390993667858</v>
      </c>
      <c r="U20" s="26"/>
    </row>
    <row r="21" spans="1:21" x14ac:dyDescent="0.25">
      <c r="A21" s="25">
        <f t="shared" si="7"/>
        <v>6</v>
      </c>
      <c r="B21" s="27">
        <f t="shared" si="2"/>
        <v>0.68058319703375303</v>
      </c>
      <c r="C21" s="7">
        <f t="shared" si="3"/>
        <v>2382.0411896181354</v>
      </c>
      <c r="D21" s="7">
        <f t="shared" si="4"/>
        <v>266380.26331901096</v>
      </c>
      <c r="E21" s="9">
        <f t="shared" si="5"/>
        <v>280740.56877642311</v>
      </c>
      <c r="F21" s="9">
        <f t="shared" si="8"/>
        <v>272233.27881350124</v>
      </c>
      <c r="G21" s="26"/>
      <c r="H21" s="2" t="s">
        <v>57</v>
      </c>
      <c r="I21" s="40">
        <v>262.81</v>
      </c>
      <c r="U21" s="26"/>
    </row>
    <row r="22" spans="1:21" x14ac:dyDescent="0.25">
      <c r="A22" s="25">
        <v>7</v>
      </c>
      <c r="B22" s="27">
        <f t="shared" si="2"/>
        <v>0.63016962688310452</v>
      </c>
      <c r="C22" s="7">
        <f t="shared" si="3"/>
        <v>2205.5936940908659</v>
      </c>
      <c r="D22" s="7">
        <f t="shared" si="4"/>
        <v>246648.39196204711</v>
      </c>
      <c r="E22" s="9">
        <f t="shared" si="5"/>
        <v>259944.97108928062</v>
      </c>
      <c r="F22" s="9">
        <f t="shared" si="8"/>
        <v>252067.8507532418</v>
      </c>
      <c r="G22" s="26"/>
      <c r="H22" s="2" t="s">
        <v>59</v>
      </c>
      <c r="I22" s="40">
        <f>I20-I21</f>
        <v>346.22390993667858</v>
      </c>
      <c r="U22" s="31"/>
    </row>
    <row r="23" spans="1:21" x14ac:dyDescent="0.25">
      <c r="A23" s="25">
        <v>8</v>
      </c>
      <c r="B23" s="27">
        <f t="shared" si="2"/>
        <v>0.58349039526213387</v>
      </c>
      <c r="C23" s="7">
        <f t="shared" si="3"/>
        <v>2042.2163834174685</v>
      </c>
      <c r="D23" s="7">
        <f t="shared" si="4"/>
        <v>228378.14070559919</v>
      </c>
      <c r="E23" s="9">
        <f t="shared" si="5"/>
        <v>240689.78804563021</v>
      </c>
      <c r="F23" s="9">
        <f t="shared" si="8"/>
        <v>233396.15810485356</v>
      </c>
      <c r="G23" s="26"/>
      <c r="H23" s="2" t="s">
        <v>60</v>
      </c>
      <c r="I23" s="41">
        <f>I22*3500*5900</f>
        <v>7149523740.1924133</v>
      </c>
    </row>
    <row r="24" spans="1:21" x14ac:dyDescent="0.25">
      <c r="A24" s="25">
        <f t="shared" si="7"/>
        <v>9</v>
      </c>
      <c r="B24" s="27">
        <f t="shared" si="2"/>
        <v>0.54026888450197574</v>
      </c>
      <c r="C24" s="7">
        <f t="shared" si="3"/>
        <v>1890.941095756915</v>
      </c>
      <c r="D24" s="7">
        <f t="shared" si="4"/>
        <v>211461.24139407329</v>
      </c>
      <c r="E24" s="9">
        <f t="shared" si="5"/>
        <v>222860.91485706498</v>
      </c>
      <c r="F24" s="9">
        <f t="shared" si="8"/>
        <v>216107.55380079031</v>
      </c>
      <c r="G24" s="26"/>
      <c r="H24" s="2" t="s">
        <v>62</v>
      </c>
      <c r="I24" s="7">
        <v>180000000</v>
      </c>
    </row>
    <row r="25" spans="1:21" x14ac:dyDescent="0.25">
      <c r="A25" s="25">
        <f t="shared" si="7"/>
        <v>10</v>
      </c>
      <c r="B25" s="27">
        <f t="shared" si="2"/>
        <v>0.50024896713145905</v>
      </c>
      <c r="C25" s="7">
        <f t="shared" si="3"/>
        <v>1750.8713849601068</v>
      </c>
      <c r="D25" s="7">
        <f t="shared" si="4"/>
        <v>195797.44573525307</v>
      </c>
      <c r="E25" s="9">
        <f t="shared" si="5"/>
        <v>206352.69894172685</v>
      </c>
      <c r="F25" s="9">
        <f t="shared" si="8"/>
        <v>200099.58685258363</v>
      </c>
      <c r="G25" s="26"/>
      <c r="H25" s="42" t="s">
        <v>61</v>
      </c>
      <c r="I25" s="43">
        <f>I23/I24</f>
        <v>39.719576334402298</v>
      </c>
    </row>
    <row r="26" spans="1:21" x14ac:dyDescent="0.25">
      <c r="A26" s="25">
        <f t="shared" si="7"/>
        <v>11</v>
      </c>
      <c r="B26" s="27">
        <f t="shared" si="2"/>
        <v>0.46319348808468425</v>
      </c>
      <c r="C26" s="7">
        <f t="shared" si="3"/>
        <v>1621.1772082963948</v>
      </c>
      <c r="D26" s="7">
        <f t="shared" si="4"/>
        <v>181293.93123634541</v>
      </c>
      <c r="E26" s="9">
        <f t="shared" si="5"/>
        <v>191067.31383493225</v>
      </c>
      <c r="F26" s="9">
        <f t="shared" si="8"/>
        <v>185277.39523387369</v>
      </c>
      <c r="G26" s="26"/>
    </row>
    <row r="27" spans="1:21" x14ac:dyDescent="0.25">
      <c r="A27" s="25">
        <f t="shared" si="7"/>
        <v>12</v>
      </c>
      <c r="B27" s="27">
        <f t="shared" si="2"/>
        <v>0.42888285933767062</v>
      </c>
      <c r="C27" s="7">
        <f t="shared" si="3"/>
        <v>1501.0900076818471</v>
      </c>
      <c r="D27" s="7">
        <f t="shared" si="4"/>
        <v>167864.75114476428</v>
      </c>
      <c r="E27" s="9">
        <f t="shared" si="5"/>
        <v>176914.17947678914</v>
      </c>
      <c r="F27" s="9">
        <f t="shared" si="8"/>
        <v>171553.14373506824</v>
      </c>
      <c r="G27" s="26"/>
    </row>
    <row r="28" spans="1:21" x14ac:dyDescent="0.25">
      <c r="A28" s="25">
        <f t="shared" si="7"/>
        <v>13</v>
      </c>
      <c r="B28" s="27">
        <f t="shared" si="2"/>
        <v>0.39711375864599124</v>
      </c>
      <c r="C28" s="7">
        <f t="shared" si="3"/>
        <v>1389.8981552609694</v>
      </c>
      <c r="D28" s="7">
        <f t="shared" si="4"/>
        <v>155430.32513404096</v>
      </c>
      <c r="E28" s="9">
        <f t="shared" si="5"/>
        <v>163809.42544147139</v>
      </c>
      <c r="F28" s="9">
        <f t="shared" si="8"/>
        <v>158845.5034583965</v>
      </c>
      <c r="G28" s="26"/>
    </row>
    <row r="29" spans="1:21" x14ac:dyDescent="0.25">
      <c r="A29" s="25">
        <f t="shared" si="7"/>
        <v>14</v>
      </c>
      <c r="B29" s="27">
        <f t="shared" si="2"/>
        <v>0.36769792467221413</v>
      </c>
      <c r="C29" s="7">
        <f t="shared" si="3"/>
        <v>1286.9427363527495</v>
      </c>
      <c r="D29" s="7">
        <f t="shared" si="4"/>
        <v>143916.96771670462</v>
      </c>
      <c r="E29" s="9">
        <f t="shared" si="5"/>
        <v>151675.39392728833</v>
      </c>
      <c r="F29" s="9">
        <f t="shared" si="8"/>
        <v>147079.16986888566</v>
      </c>
      <c r="G29" s="26"/>
    </row>
    <row r="30" spans="1:21" x14ac:dyDescent="0.25">
      <c r="A30" s="25">
        <f t="shared" si="7"/>
        <v>15</v>
      </c>
      <c r="B30" s="27">
        <f t="shared" si="2"/>
        <v>0.34046104136316119</v>
      </c>
      <c r="C30" s="7">
        <f t="shared" si="3"/>
        <v>1191.6136447710642</v>
      </c>
      <c r="D30" s="7">
        <f t="shared" si="4"/>
        <v>133256.45158954128</v>
      </c>
      <c r="E30" s="9">
        <f t="shared" si="5"/>
        <v>140440.17956230399</v>
      </c>
      <c r="F30" s="9">
        <f t="shared" si="8"/>
        <v>136184.41654526448</v>
      </c>
      <c r="G30" s="26"/>
    </row>
    <row r="31" spans="1:21" x14ac:dyDescent="0.25">
      <c r="A31" s="25">
        <f t="shared" si="7"/>
        <v>16</v>
      </c>
      <c r="B31" s="27">
        <f t="shared" si="2"/>
        <v>0.31524170496588994</v>
      </c>
      <c r="C31" s="7">
        <f t="shared" si="3"/>
        <v>1103.3459673806149</v>
      </c>
      <c r="D31" s="7">
        <f t="shared" si="4"/>
        <v>123385.60332364932</v>
      </c>
      <c r="E31" s="9">
        <f t="shared" si="5"/>
        <v>130037.20329842959</v>
      </c>
      <c r="F31" s="9">
        <f t="shared" si="8"/>
        <v>126096.68198635598</v>
      </c>
      <c r="G31" s="26"/>
    </row>
    <row r="32" spans="1:21" x14ac:dyDescent="0.25">
      <c r="A32" s="25">
        <f t="shared" si="7"/>
        <v>17</v>
      </c>
      <c r="B32" s="27">
        <f t="shared" si="2"/>
        <v>0.29189046756100923</v>
      </c>
      <c r="C32" s="7">
        <f t="shared" si="3"/>
        <v>1021.6166364635322</v>
      </c>
      <c r="D32" s="7">
        <f t="shared" si="4"/>
        <v>114245.92900337902</v>
      </c>
      <c r="E32" s="9">
        <f t="shared" si="5"/>
        <v>120404.8178689163</v>
      </c>
      <c r="F32" s="9">
        <f t="shared" si="8"/>
        <v>116756.18702440368</v>
      </c>
      <c r="G32" s="26"/>
    </row>
    <row r="33" spans="1:7" x14ac:dyDescent="0.25">
      <c r="A33" s="25">
        <f t="shared" si="7"/>
        <v>18</v>
      </c>
      <c r="B33" s="27">
        <f t="shared" si="2"/>
        <v>0.27026895144537894</v>
      </c>
      <c r="C33" s="7">
        <f t="shared" si="3"/>
        <v>945.94133005882622</v>
      </c>
      <c r="D33" s="7">
        <f t="shared" si="4"/>
        <v>105783.26759572132</v>
      </c>
      <c r="E33" s="9">
        <f t="shared" si="5"/>
        <v>111485.9424712188</v>
      </c>
      <c r="F33" s="9">
        <f t="shared" si="8"/>
        <v>108107.58057815158</v>
      </c>
      <c r="G33" s="26"/>
    </row>
    <row r="34" spans="1:7" x14ac:dyDescent="0.25">
      <c r="A34" s="25">
        <f t="shared" si="7"/>
        <v>19</v>
      </c>
      <c r="B34" s="27">
        <f t="shared" si="2"/>
        <v>0.25024902911609154</v>
      </c>
      <c r="C34" s="7">
        <f t="shared" si="3"/>
        <v>875.87160190632039</v>
      </c>
      <c r="D34" s="7">
        <f t="shared" si="4"/>
        <v>97947.469996038228</v>
      </c>
      <c r="E34" s="9">
        <f t="shared" si="5"/>
        <v>103227.72451038776</v>
      </c>
      <c r="F34" s="9">
        <f t="shared" si="8"/>
        <v>100099.61164643662</v>
      </c>
      <c r="G34" s="26"/>
    </row>
    <row r="35" spans="1:7" x14ac:dyDescent="0.25">
      <c r="A35" s="25">
        <f t="shared" si="7"/>
        <v>20</v>
      </c>
      <c r="B35" s="27">
        <f t="shared" si="2"/>
        <v>0.23171206399638106</v>
      </c>
      <c r="C35" s="7">
        <f t="shared" si="3"/>
        <v>810.99222398733366</v>
      </c>
      <c r="D35" s="7">
        <f t="shared" si="4"/>
        <v>90692.101848183549</v>
      </c>
      <c r="E35" s="9">
        <f t="shared" si="5"/>
        <v>95581.226398507191</v>
      </c>
      <c r="F35" s="9">
        <f t="shared" si="8"/>
        <v>92684.825598552416</v>
      </c>
      <c r="G35" s="26"/>
    </row>
    <row r="36" spans="1:7" x14ac:dyDescent="0.25">
      <c r="A36" s="25">
        <f t="shared" si="7"/>
        <v>21</v>
      </c>
      <c r="B36" s="27">
        <f t="shared" si="2"/>
        <v>0.21454820740405653</v>
      </c>
      <c r="C36" s="7">
        <f t="shared" si="3"/>
        <v>750.91872591419781</v>
      </c>
      <c r="D36" s="7">
        <f t="shared" si="4"/>
        <v>83974.168377947732</v>
      </c>
      <c r="E36" s="9">
        <f t="shared" si="5"/>
        <v>88501.135554173321</v>
      </c>
      <c r="F36" s="9">
        <f t="shared" si="8"/>
        <v>85819.282961622608</v>
      </c>
      <c r="G36" s="26"/>
    </row>
    <row r="37" spans="1:7" x14ac:dyDescent="0.25">
      <c r="A37" s="25">
        <f t="shared" si="7"/>
        <v>22</v>
      </c>
      <c r="B37" s="27">
        <f t="shared" si="2"/>
        <v>0.19865574759634863</v>
      </c>
      <c r="C37" s="7">
        <f t="shared" si="3"/>
        <v>695.29511658722026</v>
      </c>
      <c r="D37" s="7">
        <f t="shared" si="4"/>
        <v>77753.859609210849</v>
      </c>
      <c r="E37" s="9">
        <f t="shared" si="5"/>
        <v>81945.495883493815</v>
      </c>
      <c r="F37" s="9">
        <f t="shared" si="8"/>
        <v>79462.299038539451</v>
      </c>
      <c r="G37" s="26"/>
    </row>
    <row r="38" spans="1:7" x14ac:dyDescent="0.25">
      <c r="A38" s="25">
        <f t="shared" si="7"/>
        <v>23</v>
      </c>
      <c r="B38" s="27">
        <f t="shared" si="2"/>
        <v>0.18394050703365611</v>
      </c>
      <c r="C38" s="7">
        <f t="shared" si="3"/>
        <v>643.79177461779636</v>
      </c>
      <c r="D38" s="7">
        <f t="shared" si="4"/>
        <v>71994.314452973005</v>
      </c>
      <c r="E38" s="9">
        <f t="shared" si="5"/>
        <v>75875.45915138314</v>
      </c>
      <c r="F38" s="9">
        <f t="shared" si="8"/>
        <v>73576.202813462442</v>
      </c>
      <c r="G38" s="26"/>
    </row>
    <row r="39" spans="1:7" x14ac:dyDescent="0.25">
      <c r="A39" s="25">
        <f>A38+1</f>
        <v>24</v>
      </c>
      <c r="B39" s="27">
        <f t="shared" si="2"/>
        <v>0.17031528429042234</v>
      </c>
      <c r="C39" s="7">
        <f t="shared" si="3"/>
        <v>596.10349501647818</v>
      </c>
      <c r="D39" s="7">
        <f t="shared" si="4"/>
        <v>66661.402271271305</v>
      </c>
      <c r="E39" s="9">
        <f t="shared" si="5"/>
        <v>70255.054769799215</v>
      </c>
      <c r="F39" s="9">
        <f t="shared" si="8"/>
        <v>68126.11371616894</v>
      </c>
      <c r="G39" s="26"/>
    </row>
    <row r="40" spans="1:7" x14ac:dyDescent="0.25">
      <c r="A40" s="25">
        <f>A39+1</f>
        <v>25</v>
      </c>
      <c r="B40" s="27">
        <f t="shared" si="2"/>
        <v>0.1576993373059466</v>
      </c>
      <c r="C40" s="7">
        <f t="shared" si="3"/>
        <v>551.94768057081308</v>
      </c>
      <c r="D40" s="7">
        <f t="shared" si="4"/>
        <v>61723.520621547497</v>
      </c>
      <c r="E40" s="9">
        <f t="shared" si="5"/>
        <v>65050.976638702974</v>
      </c>
      <c r="F40" s="9">
        <f t="shared" si="8"/>
        <v>63079.734922378637</v>
      </c>
      <c r="G40" s="26"/>
    </row>
    <row r="41" spans="1:7" x14ac:dyDescent="0.25">
      <c r="A41" s="2"/>
      <c r="B41" s="2" t="s">
        <v>56</v>
      </c>
      <c r="C41" s="7">
        <f>SUM(C16:C40)</f>
        <v>40350.65399286482</v>
      </c>
      <c r="D41" s="9">
        <f>SUM(D16:D40)</f>
        <v>4512355.9922306538</v>
      </c>
      <c r="E41" s="9">
        <f>SUM(E16:E40)</f>
        <v>4755612.7920162091</v>
      </c>
      <c r="F41" s="9">
        <f>SUM(F16:F40)</f>
        <v>4611503.3134702649</v>
      </c>
      <c r="G41" s="26"/>
    </row>
  </sheetData>
  <phoneticPr fontId="5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LCOE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</dc:creator>
  <cp:lastModifiedBy>Ja</cp:lastModifiedBy>
  <dcterms:created xsi:type="dcterms:W3CDTF">2021-02-19T20:30:38Z</dcterms:created>
  <dcterms:modified xsi:type="dcterms:W3CDTF">2021-02-21T14:40:42Z</dcterms:modified>
</cp:coreProperties>
</file>